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pton Abbas PC\Budget and precept plan 2020-21\"/>
    </mc:Choice>
  </mc:AlternateContent>
  <xr:revisionPtr revIDLastSave="0" documentId="13_ncr:1_{9C471B78-9DC0-4F52-B5A0-6376DECEEB1A}" xr6:coauthVersionLast="47" xr6:coauthVersionMax="47" xr10:uidLastSave="{00000000-0000-0000-0000-000000000000}"/>
  <bookViews>
    <workbookView xWindow="-108" yWindow="-108" windowWidth="23256" windowHeight="12456" xr2:uid="{CA028C2D-FB51-4B1A-B060-41B64800C3CD}"/>
  </bookViews>
  <sheets>
    <sheet name="Sheet1" sheetId="1" r:id="rId1"/>
  </sheets>
  <externalReferences>
    <externalReference r:id="rId2"/>
    <externalReference r:id="rId3"/>
  </externalReferences>
  <definedNames>
    <definedName name="EndOfPeriod">[2]Parameters!$I$5</definedName>
    <definedName name="YearEnd">[1]Parameters!$F$2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G25" i="1" s="1"/>
  <c r="G24" i="1"/>
  <c r="F24" i="1"/>
  <c r="E24" i="1"/>
  <c r="G23" i="1"/>
  <c r="F23" i="1"/>
  <c r="E23" i="1"/>
  <c r="F22" i="1"/>
  <c r="E22" i="1"/>
  <c r="G22" i="1" s="1"/>
  <c r="F21" i="1"/>
  <c r="E21" i="1"/>
  <c r="G21" i="1" s="1"/>
  <c r="G20" i="1"/>
  <c r="F20" i="1"/>
  <c r="E20" i="1"/>
  <c r="G19" i="1"/>
  <c r="F19" i="1"/>
  <c r="E19" i="1"/>
  <c r="F18" i="1"/>
  <c r="E18" i="1"/>
  <c r="G18" i="1" s="1"/>
  <c r="F17" i="1"/>
  <c r="E17" i="1"/>
  <c r="G17" i="1" s="1"/>
  <c r="G16" i="1"/>
  <c r="F16" i="1"/>
  <c r="E16" i="1"/>
  <c r="G15" i="1"/>
  <c r="F15" i="1"/>
  <c r="E15" i="1"/>
  <c r="F14" i="1"/>
  <c r="E14" i="1"/>
  <c r="G14" i="1" s="1"/>
  <c r="F13" i="1"/>
  <c r="E13" i="1"/>
  <c r="G13" i="1" s="1"/>
  <c r="G12" i="1"/>
  <c r="F12" i="1"/>
  <c r="E12" i="1"/>
  <c r="G11" i="1"/>
  <c r="F11" i="1"/>
  <c r="E11" i="1"/>
  <c r="F10" i="1"/>
  <c r="E10" i="1"/>
  <c r="G10" i="1" s="1"/>
  <c r="F9" i="1"/>
  <c r="E9" i="1"/>
  <c r="G9" i="1" s="1"/>
  <c r="G8" i="1"/>
  <c r="F8" i="1"/>
  <c r="E8" i="1"/>
  <c r="G7" i="1"/>
  <c r="F7" i="1"/>
  <c r="E7" i="1"/>
  <c r="F6" i="1"/>
  <c r="E6" i="1"/>
  <c r="G6" i="1" s="1"/>
  <c r="G5" i="1"/>
  <c r="F5" i="1"/>
  <c r="E5" i="1"/>
  <c r="G26" i="1" l="1"/>
  <c r="E26" i="1"/>
  <c r="F26" i="1"/>
  <c r="D41" i="1" l="1"/>
  <c r="D46" i="1" s="1"/>
  <c r="D49" i="1" s="1"/>
  <c r="H26" i="1" l="1"/>
</calcChain>
</file>

<file path=xl/sharedStrings.xml><?xml version="1.0" encoding="utf-8"?>
<sst xmlns="http://schemas.openxmlformats.org/spreadsheetml/2006/main" count="57" uniqueCount="55">
  <si>
    <t>Heading</t>
  </si>
  <si>
    <t>Category</t>
  </si>
  <si>
    <t>Administrative</t>
  </si>
  <si>
    <t>Clerk's Expenses</t>
  </si>
  <si>
    <t xml:space="preserve">regulatory and </t>
  </si>
  <si>
    <t>Clerk's Wages</t>
  </si>
  <si>
    <t>running cost</t>
  </si>
  <si>
    <t>Stationery</t>
  </si>
  <si>
    <t>Grass Cutting</t>
  </si>
  <si>
    <t>Hall Hire</t>
  </si>
  <si>
    <t>Insurance</t>
  </si>
  <si>
    <t>Membership Fees</t>
  </si>
  <si>
    <t>Website</t>
  </si>
  <si>
    <t>Training &amp; Seminars</t>
  </si>
  <si>
    <t>Parish Council expenses</t>
  </si>
  <si>
    <t xml:space="preserve">Assets </t>
  </si>
  <si>
    <t>Play area ex</t>
  </si>
  <si>
    <t>Fanners Field</t>
  </si>
  <si>
    <t>Village furniture exp</t>
  </si>
  <si>
    <t>Aed ex</t>
  </si>
  <si>
    <t>Contingency</t>
  </si>
  <si>
    <t>Future projects</t>
  </si>
  <si>
    <t>Projects</t>
  </si>
  <si>
    <t xml:space="preserve">Community </t>
  </si>
  <si>
    <t>Grants &amp; Donations</t>
  </si>
  <si>
    <t>Capital fund</t>
  </si>
  <si>
    <t>Play Area Project</t>
  </si>
  <si>
    <t>Village Furniture Project</t>
  </si>
  <si>
    <t>Income</t>
  </si>
  <si>
    <t>Budget</t>
  </si>
  <si>
    <t>Receipt</t>
  </si>
  <si>
    <t>Precept</t>
  </si>
  <si>
    <t>VAT Refund</t>
  </si>
  <si>
    <t>Aed inc</t>
  </si>
  <si>
    <t>Play area inc</t>
  </si>
  <si>
    <t>HMR employees tax</t>
  </si>
  <si>
    <t>Predicted end of year cost</t>
  </si>
  <si>
    <t>Total</t>
  </si>
  <si>
    <t>Funds available to date</t>
  </si>
  <si>
    <t xml:space="preserve">Predicted VAT return </t>
  </si>
  <si>
    <t>Predicted end of year funds</t>
  </si>
  <si>
    <t xml:space="preserve">Funds allocated to projects </t>
  </si>
  <si>
    <t>Funds available EOY</t>
  </si>
  <si>
    <t xml:space="preserve">As the Parish Council have now got their precept up to cover the running cost of the PC and allocate funds to projects, </t>
  </si>
  <si>
    <t>I would recommend not putting up the precept for 2023-2024 due to living crisis and also large projects will have grants applied for</t>
  </si>
  <si>
    <t>Most PC are looking to hold off new projects that are not able to be supported by grants for the next financial year, to keep the cost down.</t>
  </si>
  <si>
    <t>Current account to 28th Oct</t>
  </si>
  <si>
    <t>(incudes, play area, projects, contingency, Village furniture)</t>
  </si>
  <si>
    <t xml:space="preserve">Precept for 2022-2023 </t>
  </si>
  <si>
    <t>Proposed precept for 2023-2024</t>
  </si>
  <si>
    <t>We need to allocate the underspend to play area and village furniture projects</t>
  </si>
  <si>
    <t>Compton Abbas Proposed Budget 2024-2025</t>
  </si>
  <si>
    <t>Budget 2023/2024</t>
  </si>
  <si>
    <t>Proposed Budget 2024-2025</t>
  </si>
  <si>
    <t>Funds available against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</si>
</sst>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_-* #,##0_-;\-* #,##0_-;_-* &quot;-&quot;??_-;_-@_-"/>
    <numFmt numFmtId="166" formatCode="_-[$£-809]* #,##0.00_-;\-[$£-809]* #,##0.00_-;_-[$£-809]* &quot;-&quot;??_-;_-@_-"/>
    <numFmt numFmtId="167" formatCode="&quot;£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4" fillId="0" borderId="2" applyNumberFormat="0" applyFill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2" applyFill="1" applyAlignment="1">
      <alignment horizontal="center" vertical="center" wrapText="1"/>
    </xf>
    <xf numFmtId="164" fontId="3" fillId="2" borderId="1" xfId="2" applyNumberFormat="1" applyFont="1" applyFill="1" applyAlignment="1">
      <alignment horizontal="center" vertical="center" wrapText="1"/>
    </xf>
    <xf numFmtId="164" fontId="0" fillId="0" borderId="0" xfId="0" applyNumberFormat="1"/>
    <xf numFmtId="165" fontId="0" fillId="0" borderId="0" xfId="4" applyNumberFormat="1" applyFont="1"/>
    <xf numFmtId="0" fontId="4" fillId="0" borderId="4" xfId="3" applyBorder="1"/>
    <xf numFmtId="164" fontId="2" fillId="3" borderId="1" xfId="2" applyNumberFormat="1" applyFill="1" applyAlignment="1">
      <alignment horizontal="center" vertical="center" wrapText="1"/>
    </xf>
    <xf numFmtId="0" fontId="4" fillId="0" borderId="2" xfId="3"/>
    <xf numFmtId="164" fontId="4" fillId="0" borderId="2" xfId="3" applyNumberFormat="1"/>
    <xf numFmtId="0" fontId="4" fillId="0" borderId="0" xfId="0" applyFont="1"/>
    <xf numFmtId="44" fontId="4" fillId="0" borderId="0" xfId="1" applyFont="1" applyBorder="1"/>
    <xf numFmtId="44" fontId="6" fillId="0" borderId="0" xfId="1" applyFont="1" applyBorder="1"/>
    <xf numFmtId="44" fontId="7" fillId="0" borderId="0" xfId="1" applyFont="1" applyBorder="1"/>
    <xf numFmtId="164" fontId="3" fillId="0" borderId="0" xfId="2" applyNumberFormat="1" applyFont="1" applyFill="1" applyBorder="1" applyAlignment="1">
      <alignment horizontal="center" vertical="center" wrapText="1"/>
    </xf>
    <xf numFmtId="0" fontId="2" fillId="0" borderId="0" xfId="2" applyFill="1" applyBorder="1" applyAlignment="1">
      <alignment horizontal="center" vertical="center" wrapText="1"/>
    </xf>
    <xf numFmtId="44" fontId="0" fillId="0" borderId="0" xfId="1" applyFont="1"/>
    <xf numFmtId="44" fontId="2" fillId="3" borderId="1" xfId="1" applyFont="1" applyFill="1" applyBorder="1" applyAlignment="1">
      <alignment horizontal="center" vertical="center" wrapText="1"/>
    </xf>
    <xf numFmtId="44" fontId="5" fillId="0" borderId="0" xfId="1" applyFont="1"/>
    <xf numFmtId="44" fontId="5" fillId="0" borderId="0" xfId="1" applyFont="1" applyBorder="1"/>
    <xf numFmtId="44" fontId="9" fillId="0" borderId="3" xfId="1" applyFont="1" applyBorder="1"/>
    <xf numFmtId="44" fontId="4" fillId="0" borderId="0" xfId="1" applyFont="1"/>
    <xf numFmtId="44" fontId="4" fillId="0" borderId="0" xfId="5" applyFont="1"/>
    <xf numFmtId="44" fontId="4" fillId="0" borderId="3" xfId="5" applyFont="1" applyBorder="1"/>
    <xf numFmtId="166" fontId="4" fillId="0" borderId="0" xfId="0" applyNumberFormat="1" applyFont="1"/>
    <xf numFmtId="44" fontId="4" fillId="0" borderId="5" xfId="0" applyNumberFormat="1" applyFont="1" applyBorder="1"/>
    <xf numFmtId="44" fontId="4" fillId="0" borderId="0" xfId="0" applyNumberFormat="1" applyFont="1"/>
    <xf numFmtId="44" fontId="4" fillId="0" borderId="3" xfId="0" applyNumberFormat="1" applyFont="1" applyBorder="1"/>
    <xf numFmtId="0" fontId="4" fillId="0" borderId="0" xfId="3" applyBorder="1"/>
    <xf numFmtId="44" fontId="8" fillId="0" borderId="0" xfId="1" applyFont="1" applyBorder="1"/>
    <xf numFmtId="44" fontId="9" fillId="0" borderId="0" xfId="1" applyFont="1" applyBorder="1"/>
    <xf numFmtId="167" fontId="10" fillId="0" borderId="0" xfId="0" applyNumberFormat="1" applyFont="1"/>
    <xf numFmtId="167" fontId="11" fillId="0" borderId="3" xfId="1" applyNumberFormat="1" applyFont="1" applyBorder="1"/>
    <xf numFmtId="167" fontId="0" fillId="0" borderId="0" xfId="0" applyNumberFormat="1"/>
    <xf numFmtId="167" fontId="4" fillId="0" borderId="2" xfId="3" applyNumberFormat="1"/>
  </cellXfs>
  <cellStyles count="6">
    <cellStyle name="Comma 2" xfId="4" xr:uid="{3E3E3E89-10C9-453F-A209-E3E6E02A144F}"/>
    <cellStyle name="Currency" xfId="1" builtinId="4"/>
    <cellStyle name="Currency 2" xfId="5" xr:uid="{5A2BD173-2E38-4406-9BA5-529AB6410171}"/>
    <cellStyle name="Heading 2" xfId="2" builtinId="17"/>
    <cellStyle name="Normal" xfId="0" builtinId="0"/>
    <cellStyle name="Total" xfId="3" builtinId="2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ton%20Abbas%20PC/Accounts/Accounts%202022-2023/Cash%20book%202022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ompton%20Abbas%20PC\Accounts\Accounts%202023-2024\Cash%20book%202023-2024.xlsx" TargetMode="External"/><Relationship Id="rId1" Type="http://schemas.openxmlformats.org/officeDocument/2006/relationships/externalLinkPath" Target="/Compton%20Abbas%20PC/Accounts/Accounts%202023-2024/Cash%20book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tions"/>
      <sheetName val="Bank Reconciliation"/>
      <sheetName val="Management Account"/>
      <sheetName val="Budget 2022"/>
      <sheetName val="Sheet1"/>
      <sheetName val="Parameters"/>
      <sheetName val="Categories List"/>
    </sheetNames>
    <sheetDataSet>
      <sheetData sheetId="0"/>
      <sheetData sheetId="1"/>
      <sheetData sheetId="2"/>
      <sheetData sheetId="3"/>
      <sheetData sheetId="4"/>
      <sheetData sheetId="5">
        <row r="2">
          <cell r="F2">
            <v>44988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nsactions"/>
      <sheetName val="Bank Reconciliation"/>
      <sheetName val="Management Account"/>
      <sheetName val="Budget 2022"/>
      <sheetName val="Sheet1"/>
      <sheetName val="Parameters"/>
      <sheetName val="Categories List"/>
    </sheetNames>
    <sheetDataSet>
      <sheetData sheetId="0"/>
      <sheetData sheetId="1"/>
      <sheetData sheetId="2"/>
      <sheetData sheetId="3"/>
      <sheetData sheetId="4"/>
      <sheetData sheetId="5">
        <row r="5">
          <cell r="I5">
            <v>45260</v>
          </cell>
          <cell r="J5">
            <v>8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1BA9E-CDB5-4938-94C2-BAC2784E2DFD}">
  <dimension ref="A2:T59"/>
  <sheetViews>
    <sheetView tabSelected="1" topLeftCell="A5" workbookViewId="0">
      <selection activeCell="I24" sqref="I24"/>
    </sheetView>
  </sheetViews>
  <sheetFormatPr defaultRowHeight="14.4" x14ac:dyDescent="0.3"/>
  <cols>
    <col min="1" max="1" width="16.88671875" customWidth="1"/>
    <col min="2" max="2" width="22.88671875" customWidth="1"/>
    <col min="3" max="3" width="11.6640625" customWidth="1"/>
    <col min="4" max="4" width="11.5546875" bestFit="1" customWidth="1"/>
    <col min="5" max="5" width="12" customWidth="1"/>
    <col min="6" max="6" width="14" customWidth="1"/>
    <col min="7" max="7" width="12" customWidth="1"/>
    <col min="8" max="8" width="15" customWidth="1"/>
  </cols>
  <sheetData>
    <row r="2" spans="1:20" x14ac:dyDescent="0.3">
      <c r="A2" s="9" t="s">
        <v>51</v>
      </c>
    </row>
    <row r="5" spans="1:20" ht="58.2" thickBot="1" x14ac:dyDescent="0.35">
      <c r="A5" s="1" t="s">
        <v>0</v>
      </c>
      <c r="B5" s="1" t="s">
        <v>1</v>
      </c>
      <c r="C5" s="2" t="s">
        <v>52</v>
      </c>
      <c r="D5" s="2" t="s">
        <v>54</v>
      </c>
      <c r="E5" s="2" t="str">
        <f>"Expenditure to " &amp; TEXT(EndOfPeriod,"dd mmm yyyy")</f>
        <v>Expenditure to 30 Nov 2023</v>
      </c>
      <c r="F5" s="2" t="str">
        <f>"Budget Proportion to " &amp; TEXT(EndOfPeriod,"dd mmm yyyy")</f>
        <v>Budget Proportion to 30 Nov 2023</v>
      </c>
      <c r="G5" s="2" t="str">
        <f>"Remaining Budget - Year to " &amp; TEXT(YearEnd,"mmmm yyyy")</f>
        <v>Remaining Budget - Year to March 2023</v>
      </c>
      <c r="H5" s="2" t="s">
        <v>53</v>
      </c>
      <c r="M5" s="14"/>
      <c r="N5" s="13"/>
      <c r="O5" s="13"/>
      <c r="P5" s="13"/>
      <c r="Q5" s="13"/>
      <c r="R5" s="13"/>
      <c r="S5" s="13"/>
      <c r="T5" s="13"/>
    </row>
    <row r="6" spans="1:20" ht="15" thickTop="1" x14ac:dyDescent="0.3">
      <c r="A6" t="s">
        <v>2</v>
      </c>
      <c r="B6" t="s">
        <v>3</v>
      </c>
      <c r="C6" s="30">
        <v>580</v>
      </c>
      <c r="D6" s="3">
        <v>580</v>
      </c>
      <c r="E6" s="32">
        <f>IFERROR(SUMIFS([2]!Table24[Expense Amount],[2]!Table24[PeriodNumber],"&lt;=" &amp; [2]Parameters!$J$5,[2]!Table24[Category],$B6),"")</f>
        <v>348.00000000000006</v>
      </c>
      <c r="F6" s="3">
        <f>(D6/12)*[2]Parameters!$J$5</f>
        <v>386.66666666666669</v>
      </c>
      <c r="G6" s="3">
        <f>IFERROR(D6-E6,"")</f>
        <v>231.99999999999994</v>
      </c>
      <c r="H6" s="17">
        <v>580</v>
      </c>
      <c r="K6" s="4"/>
    </row>
    <row r="7" spans="1:20" x14ac:dyDescent="0.3">
      <c r="A7" t="s">
        <v>4</v>
      </c>
      <c r="B7" t="s">
        <v>35</v>
      </c>
      <c r="C7" s="30">
        <v>586</v>
      </c>
      <c r="D7" s="3">
        <v>793</v>
      </c>
      <c r="E7" s="32">
        <f>IFERROR(SUMIFS([2]!Table24[Expense Amount],[2]!Table24[PeriodNumber],"&lt;=" &amp; [2]Parameters!$J$5,[2]!Table24[Category],$B7),"")</f>
        <v>435.99</v>
      </c>
      <c r="F7" s="3">
        <f>(D7/12)*[2]Parameters!$J$5</f>
        <v>528.66666666666663</v>
      </c>
      <c r="G7" s="3">
        <f>D7-E7</f>
        <v>357.01</v>
      </c>
      <c r="H7" s="17">
        <v>1860</v>
      </c>
      <c r="K7" s="4"/>
    </row>
    <row r="8" spans="1:20" x14ac:dyDescent="0.3">
      <c r="A8" t="s">
        <v>6</v>
      </c>
      <c r="B8" t="s">
        <v>5</v>
      </c>
      <c r="C8" s="30">
        <v>2800</v>
      </c>
      <c r="D8" s="3">
        <v>2749</v>
      </c>
      <c r="E8" s="32">
        <f>IFERROR(SUMIFS([2]!Table24[Expense Amount],[2]!Table24[PeriodNumber],"&lt;=" &amp; [2]Parameters!$J$5,[2]!Table24[Category],$B8),"")</f>
        <v>1437.1</v>
      </c>
      <c r="F8" s="3">
        <f>(D8/12)*[2]Parameters!$J$5</f>
        <v>1832.6666666666667</v>
      </c>
      <c r="G8" s="3">
        <f>D8-E8</f>
        <v>1311.9</v>
      </c>
      <c r="H8" s="17">
        <v>2000</v>
      </c>
      <c r="K8" s="4"/>
    </row>
    <row r="9" spans="1:20" x14ac:dyDescent="0.3">
      <c r="B9" t="s">
        <v>7</v>
      </c>
      <c r="C9" s="30">
        <v>200</v>
      </c>
      <c r="D9" s="3">
        <v>307</v>
      </c>
      <c r="E9" s="32">
        <f>IFERROR(SUMIFS([2]!Table24[Expense Amount],[2]!Table24[PeriodNumber],"&lt;=" &amp; [2]Parameters!$J$5,[2]!Table24[Category],$B9),"")</f>
        <v>0</v>
      </c>
      <c r="F9" s="3">
        <f>(D9/12)*[2]Parameters!$J$5</f>
        <v>204.66666666666666</v>
      </c>
      <c r="G9" s="3">
        <f>D9-E9</f>
        <v>307</v>
      </c>
      <c r="H9" s="17">
        <v>200</v>
      </c>
      <c r="K9" s="4"/>
    </row>
    <row r="10" spans="1:20" x14ac:dyDescent="0.3">
      <c r="B10" t="s">
        <v>8</v>
      </c>
      <c r="C10" s="30">
        <v>650</v>
      </c>
      <c r="D10" s="3">
        <v>2165</v>
      </c>
      <c r="E10" s="32">
        <f>IFERROR(SUMIFS([2]!Table24[Expense Amount],[2]!Table24[PeriodNumber],"&lt;=" &amp; [2]Parameters!$J$5,[2]!Table24[Category],$B10),"")</f>
        <v>560</v>
      </c>
      <c r="F10" s="3">
        <f>(D10/12)*[2]Parameters!$J$5</f>
        <v>1443.3333333333333</v>
      </c>
      <c r="G10" s="3">
        <f>D10-E10</f>
        <v>1605</v>
      </c>
      <c r="H10" s="17">
        <v>1120</v>
      </c>
      <c r="K10" s="4"/>
    </row>
    <row r="11" spans="1:20" x14ac:dyDescent="0.3">
      <c r="B11" t="s">
        <v>9</v>
      </c>
      <c r="C11" s="30">
        <v>100</v>
      </c>
      <c r="D11" s="3">
        <v>225</v>
      </c>
      <c r="E11" s="32">
        <f>IFERROR(SUMIFS([2]!Table24[Expense Amount],[2]!Table24[PeriodNumber],"&lt;=" &amp; [2]Parameters!$J$5,[2]!Table24[Category],$B11),"")</f>
        <v>0</v>
      </c>
      <c r="F11" s="3">
        <f>(D11/12)*[2]Parameters!$J$5</f>
        <v>150</v>
      </c>
      <c r="G11" s="3">
        <f>D11-E11</f>
        <v>225</v>
      </c>
      <c r="H11" s="17">
        <v>0</v>
      </c>
      <c r="K11" s="4"/>
    </row>
    <row r="12" spans="1:20" x14ac:dyDescent="0.3">
      <c r="B12" t="s">
        <v>10</v>
      </c>
      <c r="C12" s="30">
        <v>350</v>
      </c>
      <c r="D12" s="3">
        <v>445</v>
      </c>
      <c r="E12" s="32">
        <f>IFERROR(SUMIFS([2]!Table24[Expense Amount],[2]!Table24[PeriodNumber],"&lt;=" &amp; [2]Parameters!$J$5,[2]!Table24[Category],$B12),"")</f>
        <v>352.5</v>
      </c>
      <c r="F12" s="3">
        <f>(D12/12)*[2]Parameters!$J$5</f>
        <v>296.66666666666669</v>
      </c>
      <c r="G12" s="3">
        <f>D12-E12</f>
        <v>92.5</v>
      </c>
      <c r="H12" s="17">
        <v>370</v>
      </c>
      <c r="K12" s="4"/>
    </row>
    <row r="13" spans="1:20" x14ac:dyDescent="0.3">
      <c r="B13" t="s">
        <v>11</v>
      </c>
      <c r="C13" s="30">
        <v>180</v>
      </c>
      <c r="D13" s="3">
        <v>160</v>
      </c>
      <c r="E13" s="32">
        <f>IFERROR(SUMIFS([2]!Table24[Expense Amount],[2]!Table24[PeriodNumber],"&lt;=" &amp; [2]Parameters!$J$5,[2]!Table24[Category],$B13),"")</f>
        <v>130.63999999999999</v>
      </c>
      <c r="F13" s="3">
        <f>(D13/12)*[2]Parameters!$J$5</f>
        <v>106.66666666666667</v>
      </c>
      <c r="G13" s="3">
        <f>D13-E13</f>
        <v>29.360000000000014</v>
      </c>
      <c r="H13" s="17">
        <v>180</v>
      </c>
      <c r="K13" s="4"/>
    </row>
    <row r="14" spans="1:20" x14ac:dyDescent="0.3">
      <c r="B14" t="s">
        <v>12</v>
      </c>
      <c r="C14" s="30">
        <v>480</v>
      </c>
      <c r="D14" s="3">
        <v>500</v>
      </c>
      <c r="E14" s="32">
        <f>IFERROR(SUMIFS([2]!Table24[Expense Amount],[2]!Table24[PeriodNumber],"&lt;=" &amp; [2]Parameters!$J$5,[2]!Table24[Category],$B14),"")</f>
        <v>226.06</v>
      </c>
      <c r="F14" s="3">
        <f>(D14/12)*[2]Parameters!$J$5</f>
        <v>333.33333333333331</v>
      </c>
      <c r="G14" s="3">
        <f>D14-E14</f>
        <v>273.94</v>
      </c>
      <c r="H14" s="17">
        <v>480</v>
      </c>
      <c r="K14" s="4"/>
    </row>
    <row r="15" spans="1:20" x14ac:dyDescent="0.3">
      <c r="B15" t="s">
        <v>13</v>
      </c>
      <c r="C15" s="30">
        <v>100</v>
      </c>
      <c r="D15" s="3">
        <v>140</v>
      </c>
      <c r="E15" s="32">
        <f>IFERROR(SUMIFS([2]!Table24[Expense Amount],[2]!Table24[PeriodNumber],"&lt;=" &amp; [2]Parameters!$J$5,[2]!Table24[Category],$B15),"")</f>
        <v>0</v>
      </c>
      <c r="F15" s="3">
        <f>(D15/12)*[2]Parameters!$J$5</f>
        <v>93.333333333333329</v>
      </c>
      <c r="G15" s="3">
        <f>D15-E15</f>
        <v>140</v>
      </c>
      <c r="H15" s="17">
        <v>100</v>
      </c>
      <c r="K15" s="4"/>
    </row>
    <row r="16" spans="1:20" x14ac:dyDescent="0.3">
      <c r="B16" t="s">
        <v>14</v>
      </c>
      <c r="C16" s="30">
        <v>650</v>
      </c>
      <c r="D16" s="3">
        <v>849</v>
      </c>
      <c r="E16" s="32">
        <f>IFERROR(SUMIFS([2]!Table24[Expense Amount],[2]!Table24[PeriodNumber],"&lt;=" &amp; [2]Parameters!$J$5,[2]!Table24[Category],$B16),"")</f>
        <v>760.2</v>
      </c>
      <c r="F16" s="3">
        <f>(D16/12)*[2]Parameters!$J$5</f>
        <v>566</v>
      </c>
      <c r="G16" s="3">
        <f>D16-E16</f>
        <v>88.799999999999955</v>
      </c>
      <c r="H16" s="17">
        <v>786</v>
      </c>
      <c r="K16" s="4"/>
    </row>
    <row r="17" spans="1:11" x14ac:dyDescent="0.3">
      <c r="A17" t="s">
        <v>15</v>
      </c>
      <c r="B17" t="s">
        <v>16</v>
      </c>
      <c r="C17" s="30">
        <v>1000</v>
      </c>
      <c r="D17" s="3">
        <v>1476</v>
      </c>
      <c r="E17" s="32">
        <f>IFERROR(SUMIFS([2]!Table24[Expense Amount],[2]!Table24[PeriodNumber],"&lt;=" &amp; [2]Parameters!$J$5,[2]!Table24[Category],$B17),"")</f>
        <v>350.99</v>
      </c>
      <c r="F17" s="3">
        <f>(D17/12)*[2]Parameters!$J$5</f>
        <v>984</v>
      </c>
      <c r="G17" s="3">
        <f>D17-E17</f>
        <v>1125.01</v>
      </c>
      <c r="H17" s="17">
        <v>1000</v>
      </c>
      <c r="K17" s="4"/>
    </row>
    <row r="18" spans="1:11" x14ac:dyDescent="0.3">
      <c r="B18" t="s">
        <v>18</v>
      </c>
      <c r="C18" s="30">
        <v>1500</v>
      </c>
      <c r="D18" s="3">
        <v>1500</v>
      </c>
      <c r="E18" s="32">
        <f>IFERROR(SUMIFS([2]!Table24[Expense Amount],[2]!Table24[PeriodNumber],"&lt;=" &amp; [2]Parameters!$J$5,[2]!Table24[Category],$B18),"")</f>
        <v>1324.5309999999999</v>
      </c>
      <c r="F18" s="3">
        <f>(D18/12)*[2]Parameters!$J$5</f>
        <v>1000</v>
      </c>
      <c r="G18" s="3">
        <f>D18-E18</f>
        <v>175.46900000000005</v>
      </c>
      <c r="H18" s="17">
        <v>1500</v>
      </c>
      <c r="K18" s="4"/>
    </row>
    <row r="19" spans="1:11" x14ac:dyDescent="0.3">
      <c r="B19" t="s">
        <v>17</v>
      </c>
      <c r="C19" s="30">
        <v>1500</v>
      </c>
      <c r="D19" s="3">
        <v>2800</v>
      </c>
      <c r="E19" s="32">
        <f>IFERROR(SUMIFS([2]!Table24[Expense Amount],[2]!Table24[PeriodNumber],"&lt;=" &amp; [2]Parameters!$J$5,[2]!Table24[Category],$B19),"")</f>
        <v>450</v>
      </c>
      <c r="F19" s="3">
        <f>(D19/12)*[2]Parameters!$J$5</f>
        <v>1866.6666666666667</v>
      </c>
      <c r="G19" s="3">
        <f>D19-E19</f>
        <v>2350</v>
      </c>
      <c r="H19" s="17">
        <v>1000</v>
      </c>
      <c r="K19" s="4"/>
    </row>
    <row r="20" spans="1:11" x14ac:dyDescent="0.3">
      <c r="B20" t="s">
        <v>19</v>
      </c>
      <c r="C20" s="30">
        <v>200</v>
      </c>
      <c r="D20" s="3">
        <v>2516</v>
      </c>
      <c r="E20" s="32">
        <f>IFERROR(SUMIFS([2]!Table24[Expense Amount],[2]!Table24[PeriodNumber],"&lt;=" &amp; [2]Parameters!$J$5,[2]!Table24[Category],$B20),"")</f>
        <v>0</v>
      </c>
      <c r="F20" s="3">
        <f>(D20/12)*[2]Parameters!$J$5</f>
        <v>1677.3333333333333</v>
      </c>
      <c r="G20" s="3">
        <f>D20-E20</f>
        <v>2516</v>
      </c>
      <c r="H20" s="17">
        <v>200</v>
      </c>
      <c r="K20" s="4"/>
    </row>
    <row r="21" spans="1:11" x14ac:dyDescent="0.3">
      <c r="A21" t="s">
        <v>20</v>
      </c>
      <c r="B21" t="s">
        <v>20</v>
      </c>
      <c r="C21" s="30">
        <v>100</v>
      </c>
      <c r="D21" s="3">
        <v>1100</v>
      </c>
      <c r="E21" s="32">
        <f>IFERROR(SUMIFS([2]!Table24[Expense Amount],[2]!Table24[PeriodNumber],"&lt;=" &amp; [2]Parameters!$J$5,[2]!Table24[Category],$B21),"")</f>
        <v>0</v>
      </c>
      <c r="F21" s="3">
        <f>(D21/12)*[2]Parameters!$J$5</f>
        <v>733.33333333333337</v>
      </c>
      <c r="G21" s="3">
        <f>D21-E21</f>
        <v>1100</v>
      </c>
      <c r="H21" s="17">
        <v>100</v>
      </c>
      <c r="K21" s="4"/>
    </row>
    <row r="22" spans="1:11" x14ac:dyDescent="0.3">
      <c r="A22" t="s">
        <v>21</v>
      </c>
      <c r="B22" t="s">
        <v>22</v>
      </c>
      <c r="C22" s="30">
        <v>1500</v>
      </c>
      <c r="D22" s="3">
        <v>2602</v>
      </c>
      <c r="E22" s="32">
        <f>IFERROR(SUMIFS([2]!Table24[Expense Amount],[2]!Table24[PeriodNumber],"&lt;=" &amp; [2]Parameters!$J$5,[2]!Table24[Category],$B22),"")</f>
        <v>0</v>
      </c>
      <c r="F22" s="3">
        <f>(D22/12)*[2]Parameters!$J$5</f>
        <v>1734.6666666666667</v>
      </c>
      <c r="G22" s="3">
        <f>D22-E22</f>
        <v>2602</v>
      </c>
      <c r="H22" s="17">
        <v>1000</v>
      </c>
      <c r="K22" s="4"/>
    </row>
    <row r="23" spans="1:11" x14ac:dyDescent="0.3">
      <c r="A23" t="s">
        <v>23</v>
      </c>
      <c r="B23" t="s">
        <v>24</v>
      </c>
      <c r="C23" s="30">
        <v>500</v>
      </c>
      <c r="D23" s="3">
        <v>842</v>
      </c>
      <c r="E23" s="32">
        <f>IFERROR(SUMIFS([2]!Table24[Expense Amount],[2]!Table24[PeriodNumber],"&lt;=" &amp; [2]Parameters!$J$5,[2]!Table24[Category],$B23),"")</f>
        <v>0</v>
      </c>
      <c r="F23" s="3">
        <f>(D23/12)*[2]Parameters!$J$5</f>
        <v>561.33333333333337</v>
      </c>
      <c r="G23" s="3">
        <f>D23-E23</f>
        <v>842</v>
      </c>
      <c r="H23" s="17">
        <v>500</v>
      </c>
      <c r="K23" s="4"/>
    </row>
    <row r="24" spans="1:11" x14ac:dyDescent="0.3">
      <c r="A24" t="s">
        <v>25</v>
      </c>
      <c r="B24" t="s">
        <v>26</v>
      </c>
      <c r="C24" s="30">
        <v>1000</v>
      </c>
      <c r="D24" s="3">
        <v>3000</v>
      </c>
      <c r="E24" s="32">
        <f>IFERROR(SUMIFS([2]!Table24[Expense Amount],[2]!Table24[PeriodNumber],"&lt;=" &amp; [2]Parameters!$J$5,[2]!Table24[Category],$B24),"")</f>
        <v>0</v>
      </c>
      <c r="F24" s="3">
        <f>(D24/12)*[2]Parameters!$J$5</f>
        <v>2000</v>
      </c>
      <c r="G24" s="3">
        <f>D24-E24</f>
        <v>3000</v>
      </c>
      <c r="H24" s="18">
        <v>1000</v>
      </c>
      <c r="K24" s="4"/>
    </row>
    <row r="25" spans="1:11" x14ac:dyDescent="0.3">
      <c r="B25" t="s">
        <v>27</v>
      </c>
      <c r="C25" s="30">
        <v>1000</v>
      </c>
      <c r="D25" s="3">
        <v>1895</v>
      </c>
      <c r="E25" s="32">
        <f>IFERROR(SUMIFS([2]!Table24[Expense Amount],[2]!Table24[PeriodNumber],"&lt;=" &amp; [2]Parameters!$J$5,[2]!Table24[Category],$B25),"")</f>
        <v>0</v>
      </c>
      <c r="F25" s="3">
        <f>(D25/12)*[2]Parameters!$J$5</f>
        <v>1263.3333333333333</v>
      </c>
      <c r="G25" s="3">
        <f>D25-E25</f>
        <v>1895</v>
      </c>
      <c r="H25" s="12">
        <v>1000</v>
      </c>
    </row>
    <row r="26" spans="1:11" ht="15" thickBot="1" x14ac:dyDescent="0.35">
      <c r="A26" t="s">
        <v>37</v>
      </c>
      <c r="B26" s="5"/>
      <c r="C26" s="31">
        <v>14976</v>
      </c>
      <c r="D26" s="8">
        <v>26644</v>
      </c>
      <c r="E26" s="33">
        <f t="shared" ref="E26:G26" si="0">SUM(E6:E25)</f>
        <v>6376.0109999999995</v>
      </c>
      <c r="F26" s="33">
        <f t="shared" si="0"/>
        <v>17762.666666666668</v>
      </c>
      <c r="G26" s="33">
        <f t="shared" si="0"/>
        <v>20267.989000000001</v>
      </c>
      <c r="H26" s="19">
        <f t="shared" ref="H26" si="1">SUM(H6:H25)</f>
        <v>14976</v>
      </c>
    </row>
    <row r="27" spans="1:11" ht="15" thickTop="1" x14ac:dyDescent="0.3">
      <c r="B27" s="27"/>
      <c r="C27" s="28"/>
      <c r="D27" s="10"/>
      <c r="E27" s="10"/>
      <c r="F27" s="10"/>
      <c r="G27" s="11"/>
      <c r="H27" s="29"/>
    </row>
    <row r="28" spans="1:11" x14ac:dyDescent="0.3">
      <c r="B28" s="27"/>
      <c r="C28" s="28"/>
      <c r="D28" s="10"/>
      <c r="E28" s="10"/>
      <c r="F28" s="10"/>
      <c r="G28" s="11"/>
      <c r="H28" s="29"/>
    </row>
    <row r="29" spans="1:11" x14ac:dyDescent="0.3">
      <c r="B29" s="27"/>
      <c r="C29" s="28"/>
      <c r="D29" s="10"/>
      <c r="E29" s="10"/>
      <c r="F29" s="10"/>
      <c r="G29" s="11"/>
      <c r="H29" s="29"/>
    </row>
    <row r="30" spans="1:11" ht="18" thickBot="1" x14ac:dyDescent="0.35">
      <c r="B30" s="6" t="s">
        <v>28</v>
      </c>
      <c r="C30" s="16" t="s">
        <v>29</v>
      </c>
      <c r="D30" s="16" t="s">
        <v>30</v>
      </c>
      <c r="E30" s="15"/>
      <c r="F30" s="15"/>
    </row>
    <row r="31" spans="1:11" ht="15" thickTop="1" x14ac:dyDescent="0.3">
      <c r="B31" t="s">
        <v>31</v>
      </c>
      <c r="C31">
        <v>15000</v>
      </c>
      <c r="D31" s="3">
        <v>15000</v>
      </c>
      <c r="E31" s="3"/>
      <c r="F31" s="3"/>
    </row>
    <row r="32" spans="1:11" x14ac:dyDescent="0.3">
      <c r="B32" t="s">
        <v>32</v>
      </c>
      <c r="C32">
        <v>0</v>
      </c>
      <c r="D32" s="3">
        <v>442.53</v>
      </c>
      <c r="E32" s="3"/>
      <c r="F32" s="3"/>
    </row>
    <row r="33" spans="1:6" x14ac:dyDescent="0.3">
      <c r="B33" t="s">
        <v>33</v>
      </c>
      <c r="C33">
        <v>0</v>
      </c>
      <c r="D33" s="3">
        <v>0</v>
      </c>
      <c r="E33" s="3"/>
      <c r="F33" s="3"/>
    </row>
    <row r="34" spans="1:6" x14ac:dyDescent="0.3">
      <c r="B34" t="s">
        <v>34</v>
      </c>
      <c r="C34" s="3">
        <v>0</v>
      </c>
      <c r="D34" s="3">
        <v>0</v>
      </c>
      <c r="E34" s="3"/>
      <c r="F34" s="3"/>
    </row>
    <row r="35" spans="1:6" ht="15" thickBot="1" x14ac:dyDescent="0.35">
      <c r="B35" s="7" t="s">
        <v>28</v>
      </c>
      <c r="C35" s="8">
        <v>15000</v>
      </c>
      <c r="D35" s="8">
        <v>15442.53</v>
      </c>
      <c r="E35" s="8"/>
      <c r="F35" s="3"/>
    </row>
    <row r="36" spans="1:6" ht="15" thickTop="1" x14ac:dyDescent="0.3"/>
    <row r="39" spans="1:6" x14ac:dyDescent="0.3">
      <c r="A39" s="9" t="s">
        <v>38</v>
      </c>
      <c r="B39" t="s">
        <v>46</v>
      </c>
      <c r="D39" s="21">
        <v>28251.79</v>
      </c>
    </row>
    <row r="40" spans="1:6" x14ac:dyDescent="0.3">
      <c r="A40" s="9" t="s">
        <v>39</v>
      </c>
      <c r="D40" s="23">
        <v>350</v>
      </c>
    </row>
    <row r="41" spans="1:6" ht="15" thickBot="1" x14ac:dyDescent="0.35">
      <c r="A41" s="9"/>
      <c r="D41" s="22">
        <f>SUM(D39:D40)</f>
        <v>28601.79</v>
      </c>
    </row>
    <row r="42" spans="1:6" x14ac:dyDescent="0.3">
      <c r="A42" s="9"/>
      <c r="D42" s="21"/>
    </row>
    <row r="43" spans="1:6" x14ac:dyDescent="0.3">
      <c r="A43" s="9"/>
    </row>
    <row r="44" spans="1:6" x14ac:dyDescent="0.3">
      <c r="A44" s="9" t="s">
        <v>36</v>
      </c>
      <c r="D44" s="21">
        <v>-3720.31</v>
      </c>
    </row>
    <row r="45" spans="1:6" x14ac:dyDescent="0.3">
      <c r="A45" s="9"/>
    </row>
    <row r="46" spans="1:6" x14ac:dyDescent="0.3">
      <c r="A46" s="9" t="s">
        <v>40</v>
      </c>
      <c r="D46" s="24">
        <f>SUM(D41:D45)</f>
        <v>24881.48</v>
      </c>
    </row>
    <row r="47" spans="1:6" x14ac:dyDescent="0.3">
      <c r="A47" s="9" t="s">
        <v>41</v>
      </c>
      <c r="D47" s="25">
        <v>-6758</v>
      </c>
      <c r="E47" t="s">
        <v>47</v>
      </c>
    </row>
    <row r="48" spans="1:6" x14ac:dyDescent="0.3">
      <c r="A48" s="9"/>
      <c r="D48" s="25"/>
    </row>
    <row r="49" spans="1:4" ht="15" thickBot="1" x14ac:dyDescent="0.35">
      <c r="A49" s="9" t="s">
        <v>42</v>
      </c>
      <c r="D49" s="26">
        <f>SUM(D46:D48)</f>
        <v>18123.48</v>
      </c>
    </row>
    <row r="50" spans="1:4" x14ac:dyDescent="0.3">
      <c r="A50" s="9"/>
      <c r="D50" s="25"/>
    </row>
    <row r="51" spans="1:4" x14ac:dyDescent="0.3">
      <c r="A51" s="9" t="s">
        <v>43</v>
      </c>
    </row>
    <row r="52" spans="1:4" x14ac:dyDescent="0.3">
      <c r="A52" s="9" t="s">
        <v>44</v>
      </c>
    </row>
    <row r="53" spans="1:4" x14ac:dyDescent="0.3">
      <c r="A53" s="9" t="s">
        <v>45</v>
      </c>
    </row>
    <row r="55" spans="1:4" x14ac:dyDescent="0.3">
      <c r="A55" s="9" t="s">
        <v>48</v>
      </c>
      <c r="C55" s="20">
        <v>15000</v>
      </c>
    </row>
    <row r="56" spans="1:4" x14ac:dyDescent="0.3">
      <c r="C56" s="9"/>
    </row>
    <row r="57" spans="1:4" x14ac:dyDescent="0.3">
      <c r="A57" s="9" t="s">
        <v>49</v>
      </c>
      <c r="C57" s="20">
        <v>15000</v>
      </c>
    </row>
    <row r="59" spans="1:4" x14ac:dyDescent="0.3">
      <c r="A59" s="9" t="s">
        <v>50</v>
      </c>
    </row>
  </sheetData>
  <conditionalFormatting sqref="F27:F29 G6:G26">
    <cfRule type="cellIs" dxfId="2" priority="4" operator="lessThan">
      <formula>0</formula>
    </cfRule>
  </conditionalFormatting>
  <conditionalFormatting sqref="H6:H24">
    <cfRule type="cellIs" dxfId="1" priority="8" operator="lessThan">
      <formula>0</formula>
    </cfRule>
  </conditionalFormatting>
  <conditionalFormatting sqref="C6:C25">
    <cfRule type="cellIs" dxfId="0" priority="3" operator="lessThan">
      <formula>0</formula>
    </cfRule>
  </conditionalFormatting>
  <dataValidations count="2">
    <dataValidation type="list" allowBlank="1" showInputMessage="1" showErrorMessage="1" sqref="B6:B7" xr:uid="{97C3E969-5AEB-4165-927C-1D354D3981ED}">
      <formula1>INDIRECT("CategoryTable[Name]")</formula1>
    </dataValidation>
    <dataValidation type="list" allowBlank="1" showInputMessage="1" promptTitle="Categories" prompt="Select a category from the drop-down list." sqref="B8:B35" xr:uid="{D82B5A56-44C6-4E0E-9516-40F67D263F03}">
      <formula1>INDIRECT("CategoryTable[Name]")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Phillips</dc:creator>
  <cp:lastModifiedBy>Nicola Phillips</cp:lastModifiedBy>
  <cp:lastPrinted>2022-12-07T15:34:02Z</cp:lastPrinted>
  <dcterms:created xsi:type="dcterms:W3CDTF">2021-11-29T16:29:09Z</dcterms:created>
  <dcterms:modified xsi:type="dcterms:W3CDTF">2023-11-07T12:51:01Z</dcterms:modified>
</cp:coreProperties>
</file>